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puts" sheetId="1" state="visible" r:id="rId3"/>
    <sheet name="Estimate" sheetId="2" state="visible" r:id="rId4"/>
    <sheet name="Parametric Check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<sst xmlns="http://schemas.openxmlformats.org/spreadsheetml/2006/main" count="212" uniqueCount="182">
  <si>
    <t xml:space="preserve">ONSHORE PIPELINE COST ESTIMATE  —  INPUTS &amp; ASSUMPTIONS</t>
  </si>
  <si>
    <t xml:space="preserve">AACE Class 3 (FEED) basis. Yellow cells are inputs — replace with project/regional data. Black cells are formulas.</t>
  </si>
  <si>
    <t xml:space="preserve">1.  PROJECT</t>
  </si>
  <si>
    <t xml:space="preserve">Project / line name</t>
  </si>
  <si>
    <t xml:space="preserve">New Onshore Trunkline</t>
  </si>
  <si>
    <t xml:space="preserve">Estimate class</t>
  </si>
  <si>
    <t xml:space="preserve">AACE Class 3 (FEED)</t>
  </si>
  <si>
    <t xml:space="preserve">Drives contingency band (±10–30%)</t>
  </si>
  <si>
    <t xml:space="preserve">Rate basis region &amp; date</t>
  </si>
  <si>
    <t xml:space="preserve">Region X — Q2 2026</t>
  </si>
  <si>
    <t xml:space="preserve">State region + date; rates are time/place specific</t>
  </si>
  <si>
    <t xml:space="preserve">Base currency</t>
  </si>
  <si>
    <t xml:space="preserve">USD</t>
  </si>
  <si>
    <t xml:space="preserve">2.  PIPELINE PARAMETERS</t>
  </si>
  <si>
    <t xml:space="preserve">Nominal OD</t>
  </si>
  <si>
    <t xml:space="preserve">in</t>
  </si>
  <si>
    <t xml:space="preserve">Outside diameter</t>
  </si>
  <si>
    <t xml:space="preserve">OD (mm)</t>
  </si>
  <si>
    <t xml:space="preserve">mm</t>
  </si>
  <si>
    <t xml:space="preserve">Wall thickness</t>
  </si>
  <si>
    <t xml:space="preserve">Governing WT (incl. any crossing/cased upgrade)</t>
  </si>
  <si>
    <t xml:space="preserve">Route length</t>
  </si>
  <si>
    <t xml:space="preserve">km</t>
  </si>
  <si>
    <t xml:space="preserve">Total installed length</t>
  </si>
  <si>
    <t xml:space="preserve">Pipe grade</t>
  </si>
  <si>
    <t xml:space="preserve">API 5L X65</t>
  </si>
  <si>
    <t xml:space="preserve">Steel density</t>
  </si>
  <si>
    <t xml:space="preserve">kg/m³</t>
  </si>
  <si>
    <t xml:space="preserve">Carbon steel</t>
  </si>
  <si>
    <t xml:space="preserve">3.  TERRAIN SPLIT  (construction unit rates by ground type)</t>
  </si>
  <si>
    <t xml:space="preserve">Terrain type</t>
  </si>
  <si>
    <t xml:space="preserve">% of length</t>
  </si>
  <si>
    <t xml:space="preserve">Length (km)</t>
  </si>
  <si>
    <t xml:space="preserve">Constr. rate ($/km)</t>
  </si>
  <si>
    <t xml:space="preserve">Cost ($)</t>
  </si>
  <si>
    <t xml:space="preserve">Flat / open ground</t>
  </si>
  <si>
    <t xml:space="preserve">Agricultural / soft soil</t>
  </si>
  <si>
    <t xml:space="preserve">Rock / blasting</t>
  </si>
  <si>
    <t xml:space="preserve">Sabkha / high water table</t>
  </si>
  <si>
    <t xml:space="preserve">Hilly / side-slope</t>
  </si>
  <si>
    <t xml:space="preserve">Total / check</t>
  </si>
  <si>
    <t xml:space="preserve">&lt;- must = 100%</t>
  </si>
  <si>
    <t xml:space="preserve">4.  CROSSINGS  (estimate individually — never a blanket allowance)</t>
  </si>
  <si>
    <t xml:space="preserve">Crossing type</t>
  </si>
  <si>
    <t xml:space="preserve">No.</t>
  </si>
  <si>
    <t xml:space="preserve">Method</t>
  </si>
  <si>
    <t xml:space="preserve">Unit cost ($ each)</t>
  </si>
  <si>
    <t xml:space="preserve">Minor road</t>
  </si>
  <si>
    <t xml:space="preserve">Open-cut / cased</t>
  </si>
  <si>
    <t xml:space="preserve">Major road / highway</t>
  </si>
  <si>
    <t xml:space="preserve">Bored / cased</t>
  </si>
  <si>
    <t xml:space="preserve">Railway</t>
  </si>
  <si>
    <t xml:space="preserve">Wadi / minor watercourse</t>
  </si>
  <si>
    <t xml:space="preserve">Open-cut</t>
  </si>
  <si>
    <t xml:space="preserve">River (major)</t>
  </si>
  <si>
    <t xml:space="preserve">HDD</t>
  </si>
  <si>
    <t xml:space="preserve">Foreign pipeline / utility</t>
  </si>
  <si>
    <t xml:space="preserve">Total crossings</t>
  </si>
  <si>
    <t xml:space="preserve">5.  MATERIAL UNIT RATES</t>
  </si>
  <si>
    <t xml:space="preserve">Line pipe (delivered)</t>
  </si>
  <si>
    <t xml:space="preserve">$/tonne</t>
  </si>
  <si>
    <t xml:space="preserve">Incl. mill + freight to site</t>
  </si>
  <si>
    <t xml:space="preserve">External coating (3LPE)</t>
  </si>
  <si>
    <t xml:space="preserve">$/m²</t>
  </si>
  <si>
    <t xml:space="preserve">Applied area basis</t>
  </si>
  <si>
    <t xml:space="preserve">Field joint coating</t>
  </si>
  <si>
    <t xml:space="preserve">$/joint</t>
  </si>
  <si>
    <t xml:space="preserve">~per 12 m joint</t>
  </si>
  <si>
    <t xml:space="preserve">Induction bends + fittings</t>
  </si>
  <si>
    <t xml:space="preserve">% of pipe</t>
  </si>
  <si>
    <t xml:space="preserve">Allowance vs line pipe cost</t>
  </si>
  <si>
    <t xml:space="preserve">Block valve stations (incl. actuator)</t>
  </si>
  <si>
    <t xml:space="preserve">$ each</t>
  </si>
  <si>
    <t xml:space="preserve">See count below</t>
  </si>
  <si>
    <t xml:space="preserve">No. of block valve stations</t>
  </si>
  <si>
    <t xml:space="preserve">off</t>
  </si>
  <si>
    <t xml:space="preserve">Per spacing / HSE</t>
  </si>
  <si>
    <t xml:space="preserve">Cathodic protection system</t>
  </si>
  <si>
    <t xml:space="preserve">$/km</t>
  </si>
  <si>
    <t xml:space="preserve">Anodes/ICCP + test posts</t>
  </si>
  <si>
    <t xml:space="preserve">Pig traps (launcher+receiver pair)</t>
  </si>
  <si>
    <t xml:space="preserve">pairs</t>
  </si>
  <si>
    <t xml:space="preserve">Pig trap cost</t>
  </si>
  <si>
    <t xml:space="preserve">$/pair</t>
  </si>
  <si>
    <t xml:space="preserve">6.  INDIRECTS, ESCALATION &amp; CONTINGENCY</t>
  </si>
  <si>
    <t xml:space="preserve">Hydrotest (water src/treat/disposal)</t>
  </si>
  <si>
    <t xml:space="preserve">Real line item in arid regions</t>
  </si>
  <si>
    <t xml:space="preserve">Reinstatement / ROW restoration</t>
  </si>
  <si>
    <t xml:space="preserve">Land / ROW acquisition</t>
  </si>
  <si>
    <t xml:space="preserve">$ LS</t>
  </si>
  <si>
    <t xml:space="preserve">Lump sum</t>
  </si>
  <si>
    <t xml:space="preserve">Engineering &amp; PMC</t>
  </si>
  <si>
    <t xml:space="preserve">% of direct</t>
  </si>
  <si>
    <t xml:space="preserve">Owner's cost (insp., admin, etc.)</t>
  </si>
  <si>
    <t xml:space="preserve">Escalation to construction midpoint</t>
  </si>
  <si>
    <t xml:space="preserve">Contingency (Class 3)</t>
  </si>
  <si>
    <t xml:space="preserve">% of subtotal</t>
  </si>
  <si>
    <t xml:space="preserve">±10–30% band</t>
  </si>
  <si>
    <t xml:space="preserve">ONSHORE PIPELINE COST ESTIMATE  —  WBS SUMMARY</t>
  </si>
  <si>
    <t xml:space="preserve">All values link from the Inputs sheet (green = cross-sheet link).</t>
  </si>
  <si>
    <t xml:space="preserve">WBS</t>
  </si>
  <si>
    <t xml:space="preserve">Description</t>
  </si>
  <si>
    <t xml:space="preserve">Quantity</t>
  </si>
  <si>
    <t xml:space="preserve">Unit</t>
  </si>
  <si>
    <t xml:space="preserve">% of total</t>
  </si>
  <si>
    <t xml:space="preserve">1000</t>
  </si>
  <si>
    <t xml:space="preserve">MATERIALS / SUPPLY</t>
  </si>
  <si>
    <t xml:space="preserve">1100</t>
  </si>
  <si>
    <t xml:space="preserve">Line pipe (delivered to site)</t>
  </si>
  <si>
    <t xml:space="preserve">tonne</t>
  </si>
  <si>
    <t xml:space="preserve">1200</t>
  </si>
  <si>
    <t xml:space="preserve">m²</t>
  </si>
  <si>
    <t xml:space="preserve">1300</t>
  </si>
  <si>
    <t xml:space="preserve">joint</t>
  </si>
  <si>
    <t xml:space="preserve">1400</t>
  </si>
  <si>
    <t xml:space="preserve">Induction bends &amp; fittings (allow.)</t>
  </si>
  <si>
    <t xml:space="preserve">% pipe</t>
  </si>
  <si>
    <t xml:space="preserve">1500</t>
  </si>
  <si>
    <t xml:space="preserve">Block valves &amp; actuators</t>
  </si>
  <si>
    <t xml:space="preserve">1600</t>
  </si>
  <si>
    <t xml:space="preserve">Cathodic protection (supply)</t>
  </si>
  <si>
    <t xml:space="preserve">1700</t>
  </si>
  <si>
    <t xml:space="preserve">Pig traps (launcher/receiver)</t>
  </si>
  <si>
    <t xml:space="preserve">Subtotal — Materials</t>
  </si>
  <si>
    <t xml:space="preserve">2000</t>
  </si>
  <si>
    <t xml:space="preserve">CONSTRUCTION / INSTALLATION</t>
  </si>
  <si>
    <t xml:space="preserve">2100</t>
  </si>
  <si>
    <t xml:space="preserve">Mainline construction (by terrain)</t>
  </si>
  <si>
    <t xml:space="preserve">2200</t>
  </si>
  <si>
    <t xml:space="preserve">2300</t>
  </si>
  <si>
    <t xml:space="preserve">Subtotal — Construction</t>
  </si>
  <si>
    <t xml:space="preserve">3000</t>
  </si>
  <si>
    <t xml:space="preserve">CROSSINGS</t>
  </si>
  <si>
    <t xml:space="preserve">3100</t>
  </si>
  <si>
    <t xml:space="preserve">All crossings (road/rail/water/HDD)</t>
  </si>
  <si>
    <t xml:space="preserve">LS</t>
  </si>
  <si>
    <t xml:space="preserve">Subtotal — Crossings</t>
  </si>
  <si>
    <t xml:space="preserve">4000</t>
  </si>
  <si>
    <t xml:space="preserve">LAND &amp; RIGHT-OF-WAY</t>
  </si>
  <si>
    <t xml:space="preserve">4100</t>
  </si>
  <si>
    <t xml:space="preserve">Subtotal — Land/ROW</t>
  </si>
  <si>
    <t xml:space="preserve">TOTAL DIRECT COST</t>
  </si>
  <si>
    <t xml:space="preserve">5000</t>
  </si>
  <si>
    <t xml:space="preserve">INDIRECTS, ESCALATION &amp; CONTINGENCY</t>
  </si>
  <si>
    <t xml:space="preserve">5100</t>
  </si>
  <si>
    <t xml:space="preserve">% dir.</t>
  </si>
  <si>
    <t xml:space="preserve">5200</t>
  </si>
  <si>
    <t xml:space="preserve">Owner's cost</t>
  </si>
  <si>
    <t xml:space="preserve">5300</t>
  </si>
  <si>
    <t xml:space="preserve">SUBTOTAL (Direct + Indirect)</t>
  </si>
  <si>
    <t xml:space="preserve">5400</t>
  </si>
  <si>
    <t xml:space="preserve">% sub.</t>
  </si>
  <si>
    <t xml:space="preserve">TOTAL INSTALLED COST (TIC)</t>
  </si>
  <si>
    <t xml:space="preserve">100%</t>
  </si>
  <si>
    <t xml:space="preserve">Class 3 accuracy range applied to TIC (informational):</t>
  </si>
  <si>
    <t xml:space="preserve">Low (−15%)</t>
  </si>
  <si>
    <t xml:space="preserve">High (+30%)</t>
  </si>
  <si>
    <t xml:space="preserve">PARAMETRIC CROSS-CHECK</t>
  </si>
  <si>
    <t xml:space="preserve">If the bottom-up TIC and a regional analogue disagree by more than the Class band, something is missing — usually crossings, terrain factor, or escalation.</t>
  </si>
  <si>
    <t xml:space="preserve">BOTTOM-UP METRICS (from Estimate)</t>
  </si>
  <si>
    <t xml:space="preserve">Total Installed Cost</t>
  </si>
  <si>
    <t xml:space="preserve">$</t>
  </si>
  <si>
    <t xml:space="preserve">Length</t>
  </si>
  <si>
    <t xml:space="preserve">Nominal diameter</t>
  </si>
  <si>
    <t xml:space="preserve">Cost per km</t>
  </si>
  <si>
    <t xml:space="preserve">Key benchmark metric</t>
  </si>
  <si>
    <t xml:space="preserve">Cost per inch-km</t>
  </si>
  <si>
    <t xml:space="preserve">$/in-km</t>
  </si>
  <si>
    <t xml:space="preserve">Diameter-normalised — best for analogue comparison</t>
  </si>
  <si>
    <t xml:space="preserve">ANALOGUE BENCHMARK (enter from a recent comparable line)</t>
  </si>
  <si>
    <t xml:space="preserve">Analogue cost per inch-km</t>
  </si>
  <si>
    <t xml:space="preserve">Same region &amp; vintage; state source</t>
  </si>
  <si>
    <t xml:space="preserve">Variance vs analogue</t>
  </si>
  <si>
    <t xml:space="preserve">CHECKLIST — items most often under-scoped</t>
  </si>
  <si>
    <t xml:space="preserve">☐  Crossings estimated individually (not blanket allowance)</t>
  </si>
  <si>
    <t xml:space="preserve">☐  Terrain factor reflects actual ground (rock/sabkha)</t>
  </si>
  <si>
    <t xml:space="preserve">☐  Hydrotest water source/treatment/disposal included</t>
  </si>
  <si>
    <t xml:space="preserve">☐  Escalation to construction midpoint, not award date</t>
  </si>
  <si>
    <t xml:space="preserve">☐  AGIs / block valve stations counted</t>
  </si>
  <si>
    <t xml:space="preserve">☐  Logistics &amp; lay-down for remote site</t>
  </si>
  <si>
    <t xml:space="preserve">☐  Customs / import duties (if applicable)</t>
  </si>
  <si>
    <t xml:space="preserve">☐  Contingency sized to estimate class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</si>
</sst>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\&quot;"/>
    <numFmt numFmtId="166" formatCode="#,##0.0;\(#,##0.0\);\-"/>
    <numFmt numFmtId="167" formatCode="#,##0;\(#,##0\);\-"/>
    <numFmt numFmtId="168" formatCode="0.0%"/>
    <numFmt numFmtId="169" formatCode="\$#,##0;&quot;($&quot;#,##0\);\-"/>
    <numFmt numFmtId="170" formatCode="\$#,##0.00;&quot;($&quot;#,##0.00\);\-"/>
    <numFmt numFmtId="171" formatCode="0.0\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80808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00"/>
      <name val="Arial"/>
      <family val="0"/>
      <charset val="1"/>
    </font>
    <font>
      <sz val="11"/>
      <color rgb="FF0000FF"/>
      <name val="Arial"/>
      <family val="0"/>
      <charset val="1"/>
    </font>
    <font>
      <b val="true"/>
      <sz val="11"/>
      <color rgb="FF1F3864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11"/>
      <color rgb="FF00800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E5496"/>
        <bgColor rgb="FF1F3864"/>
      </patternFill>
    </fill>
    <fill>
      <patternFill patternType="solid">
        <fgColor rgb="FFFFF2CC"/>
        <bgColor rgb="FFE2EFDA"/>
      </patternFill>
    </fill>
    <fill>
      <patternFill patternType="solid">
        <fgColor rgb="FFD6DCE5"/>
        <bgColor rgb="FFE2EFDA"/>
      </patternFill>
    </fill>
    <fill>
      <patternFill patternType="solid">
        <fgColor rgb="FFE2EFDA"/>
        <bgColor rgb="FFD6DCE5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8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3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1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8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2E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5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4"/>
    <col collapsed="false" customWidth="true" hidden="false" outlineLevel="0" max="3" min="3" style="0" width="16"/>
    <col collapsed="false" customWidth="true" hidden="false" outlineLevel="0" max="4" min="4" style="0" width="14"/>
    <col collapsed="false" customWidth="true" hidden="false" outlineLevel="0" max="5" min="5" style="0" width="40"/>
    <col collapsed="false" customWidth="true" hidden="false" outlineLevel="0" max="7" min="6" style="0" width="14"/>
  </cols>
  <sheetData>
    <row r="1" customFormat="false" ht="25.5" hidden="false" customHeight="true" outlineLevel="0" collapsed="false">
      <c r="B1" s="1" t="s">
        <v>0</v>
      </c>
      <c r="C1" s="1"/>
      <c r="D1" s="1"/>
      <c r="E1" s="1"/>
      <c r="F1" s="1"/>
      <c r="G1" s="1"/>
    </row>
    <row r="2" customFormat="false" ht="15" hidden="false" customHeight="false" outlineLevel="0" collapsed="false">
      <c r="B2" s="2" t="s">
        <v>1</v>
      </c>
      <c r="C2" s="2"/>
      <c r="D2" s="2"/>
      <c r="E2" s="2"/>
      <c r="F2" s="2"/>
      <c r="G2" s="2"/>
    </row>
    <row r="4" customFormat="false" ht="18" hidden="false" customHeight="true" outlineLevel="0" collapsed="false">
      <c r="B4" s="3" t="s">
        <v>2</v>
      </c>
      <c r="C4" s="3"/>
      <c r="D4" s="3"/>
      <c r="E4" s="3"/>
      <c r="F4" s="3"/>
      <c r="G4" s="3"/>
    </row>
    <row r="5" customFormat="false" ht="15" hidden="false" customHeight="false" outlineLevel="0" collapsed="false">
      <c r="B5" s="4" t="s">
        <v>3</v>
      </c>
      <c r="C5" s="5" t="s">
        <v>4</v>
      </c>
      <c r="D5" s="6"/>
      <c r="E5" s="4"/>
    </row>
    <row r="6" customFormat="false" ht="15" hidden="false" customHeight="false" outlineLevel="0" collapsed="false">
      <c r="B6" s="4" t="s">
        <v>5</v>
      </c>
      <c r="C6" s="5" t="s">
        <v>6</v>
      </c>
      <c r="D6" s="6"/>
      <c r="E6" s="7" t="s">
        <v>7</v>
      </c>
    </row>
    <row r="7" customFormat="false" ht="15" hidden="false" customHeight="false" outlineLevel="0" collapsed="false">
      <c r="B7" s="4" t="s">
        <v>8</v>
      </c>
      <c r="C7" s="5" t="s">
        <v>9</v>
      </c>
      <c r="D7" s="6"/>
      <c r="E7" s="7" t="s">
        <v>10</v>
      </c>
    </row>
    <row r="8" customFormat="false" ht="15" hidden="false" customHeight="false" outlineLevel="0" collapsed="false">
      <c r="B8" s="4" t="s">
        <v>11</v>
      </c>
      <c r="C8" s="5" t="s">
        <v>12</v>
      </c>
      <c r="D8" s="6"/>
      <c r="E8" s="4"/>
    </row>
    <row r="10" customFormat="false" ht="18" hidden="false" customHeight="true" outlineLevel="0" collapsed="false">
      <c r="B10" s="3" t="s">
        <v>13</v>
      </c>
      <c r="C10" s="3"/>
      <c r="D10" s="3"/>
      <c r="E10" s="3"/>
      <c r="F10" s="3"/>
      <c r="G10" s="3"/>
    </row>
    <row r="11" customFormat="false" ht="15" hidden="false" customHeight="false" outlineLevel="0" collapsed="false">
      <c r="B11" s="4" t="s">
        <v>14</v>
      </c>
      <c r="C11" s="8" t="n">
        <v>24</v>
      </c>
      <c r="D11" s="6" t="s">
        <v>15</v>
      </c>
      <c r="E11" s="7" t="s">
        <v>16</v>
      </c>
    </row>
    <row r="12" customFormat="false" ht="15" hidden="false" customHeight="false" outlineLevel="0" collapsed="false">
      <c r="B12" s="4" t="s">
        <v>17</v>
      </c>
      <c r="C12" s="9" t="n">
        <f aca="false">C11*25.4</f>
        <v>609.6</v>
      </c>
      <c r="D12" s="6" t="s">
        <v>18</v>
      </c>
      <c r="E12" s="4"/>
    </row>
    <row r="13" customFormat="false" ht="15" hidden="false" customHeight="false" outlineLevel="0" collapsed="false">
      <c r="B13" s="4" t="s">
        <v>19</v>
      </c>
      <c r="C13" s="10" t="n">
        <v>12.7</v>
      </c>
      <c r="D13" s="6" t="s">
        <v>18</v>
      </c>
      <c r="E13" s="7" t="s">
        <v>20</v>
      </c>
    </row>
    <row r="14" customFormat="false" ht="15" hidden="false" customHeight="false" outlineLevel="0" collapsed="false">
      <c r="B14" s="4" t="s">
        <v>21</v>
      </c>
      <c r="C14" s="10" t="n">
        <v>120</v>
      </c>
      <c r="D14" s="6" t="s">
        <v>22</v>
      </c>
      <c r="E14" s="7" t="s">
        <v>23</v>
      </c>
    </row>
    <row r="15" customFormat="false" ht="15" hidden="false" customHeight="false" outlineLevel="0" collapsed="false">
      <c r="B15" s="4" t="s">
        <v>24</v>
      </c>
      <c r="C15" s="5" t="s">
        <v>25</v>
      </c>
      <c r="D15" s="6"/>
      <c r="E15" s="4"/>
    </row>
    <row r="16" customFormat="false" ht="15" hidden="false" customHeight="false" outlineLevel="0" collapsed="false">
      <c r="B16" s="4" t="s">
        <v>26</v>
      </c>
      <c r="C16" s="11" t="n">
        <v>7850</v>
      </c>
      <c r="D16" s="6" t="s">
        <v>27</v>
      </c>
      <c r="E16" s="7" t="s">
        <v>28</v>
      </c>
    </row>
    <row r="18" customFormat="false" ht="18" hidden="false" customHeight="true" outlineLevel="0" collapsed="false">
      <c r="B18" s="3" t="s">
        <v>29</v>
      </c>
      <c r="C18" s="3"/>
      <c r="D18" s="3"/>
      <c r="E18" s="3"/>
      <c r="F18" s="3"/>
      <c r="G18" s="3"/>
    </row>
    <row r="19" customFormat="false" ht="15" hidden="false" customHeight="false" outlineLevel="0" collapsed="false">
      <c r="B19" s="12" t="s">
        <v>30</v>
      </c>
      <c r="C19" s="12" t="s">
        <v>31</v>
      </c>
      <c r="D19" s="12" t="s">
        <v>32</v>
      </c>
      <c r="E19" s="12" t="s">
        <v>33</v>
      </c>
      <c r="F19" s="12" t="s">
        <v>34</v>
      </c>
      <c r="G19" s="13"/>
    </row>
    <row r="20" customFormat="false" ht="15" hidden="false" customHeight="false" outlineLevel="0" collapsed="false">
      <c r="B20" s="4" t="s">
        <v>35</v>
      </c>
      <c r="C20" s="14" t="n">
        <v>0.45</v>
      </c>
      <c r="D20" s="9" t="n">
        <f aca="false">C20*$C$14</f>
        <v>54</v>
      </c>
      <c r="E20" s="15" t="n">
        <v>450000</v>
      </c>
      <c r="F20" s="16" t="n">
        <f aca="false">D20*E20</f>
        <v>24300000</v>
      </c>
      <c r="G20" s="17"/>
    </row>
    <row r="21" customFormat="false" ht="15" hidden="false" customHeight="false" outlineLevel="0" collapsed="false">
      <c r="B21" s="4" t="s">
        <v>36</v>
      </c>
      <c r="C21" s="14" t="n">
        <v>0.2</v>
      </c>
      <c r="D21" s="9" t="n">
        <f aca="false">C21*$C$14</f>
        <v>24</v>
      </c>
      <c r="E21" s="15" t="n">
        <v>580000</v>
      </c>
      <c r="F21" s="16" t="n">
        <f aca="false">D21*E21</f>
        <v>13920000</v>
      </c>
      <c r="G21" s="17"/>
    </row>
    <row r="22" customFormat="false" ht="15" hidden="false" customHeight="false" outlineLevel="0" collapsed="false">
      <c r="B22" s="4" t="s">
        <v>37</v>
      </c>
      <c r="C22" s="14" t="n">
        <v>0.1</v>
      </c>
      <c r="D22" s="9" t="n">
        <f aca="false">C22*$C$14</f>
        <v>12</v>
      </c>
      <c r="E22" s="15" t="n">
        <v>1400000</v>
      </c>
      <c r="F22" s="16" t="n">
        <f aca="false">D22*E22</f>
        <v>16800000</v>
      </c>
      <c r="G22" s="17"/>
    </row>
    <row r="23" customFormat="false" ht="15" hidden="false" customHeight="false" outlineLevel="0" collapsed="false">
      <c r="B23" s="4" t="s">
        <v>38</v>
      </c>
      <c r="C23" s="14" t="n">
        <v>0.15</v>
      </c>
      <c r="D23" s="9" t="n">
        <f aca="false">C23*$C$14</f>
        <v>18</v>
      </c>
      <c r="E23" s="15" t="n">
        <v>1000000</v>
      </c>
      <c r="F23" s="16" t="n">
        <f aca="false">D23*E23</f>
        <v>18000000</v>
      </c>
      <c r="G23" s="17"/>
    </row>
    <row r="24" customFormat="false" ht="15" hidden="false" customHeight="false" outlineLevel="0" collapsed="false">
      <c r="B24" s="4" t="s">
        <v>39</v>
      </c>
      <c r="C24" s="14" t="n">
        <v>0.1</v>
      </c>
      <c r="D24" s="9" t="n">
        <f aca="false">C24*$C$14</f>
        <v>12</v>
      </c>
      <c r="E24" s="15" t="n">
        <v>850000</v>
      </c>
      <c r="F24" s="16" t="n">
        <f aca="false">D24*E24</f>
        <v>10200000</v>
      </c>
      <c r="G24" s="17"/>
    </row>
    <row r="25" customFormat="false" ht="15" hidden="false" customHeight="false" outlineLevel="0" collapsed="false">
      <c r="B25" s="18" t="s">
        <v>40</v>
      </c>
      <c r="C25" s="19" t="n">
        <f aca="false">SUM(C20:C24)</f>
        <v>1</v>
      </c>
      <c r="D25" s="20" t="n">
        <f aca="false">SUM(D20:D24)</f>
        <v>120</v>
      </c>
      <c r="E25" s="21" t="s">
        <v>41</v>
      </c>
      <c r="F25" s="22" t="n">
        <f aca="false">SUM(F20:F24)</f>
        <v>83220000</v>
      </c>
      <c r="G25" s="23"/>
    </row>
    <row r="27" customFormat="false" ht="18" hidden="false" customHeight="true" outlineLevel="0" collapsed="false">
      <c r="B27" s="3" t="s">
        <v>42</v>
      </c>
      <c r="C27" s="3"/>
      <c r="D27" s="3"/>
      <c r="E27" s="3"/>
      <c r="F27" s="3"/>
      <c r="G27" s="3"/>
    </row>
    <row r="28" customFormat="false" ht="15" hidden="false" customHeight="false" outlineLevel="0" collapsed="false">
      <c r="B28" s="12" t="s">
        <v>43</v>
      </c>
      <c r="C28" s="12" t="s">
        <v>44</v>
      </c>
      <c r="D28" s="12" t="s">
        <v>45</v>
      </c>
      <c r="E28" s="12" t="s">
        <v>46</v>
      </c>
      <c r="F28" s="12" t="s">
        <v>34</v>
      </c>
      <c r="G28" s="13"/>
    </row>
    <row r="29" customFormat="false" ht="15" hidden="false" customHeight="false" outlineLevel="0" collapsed="false">
      <c r="B29" s="4" t="s">
        <v>47</v>
      </c>
      <c r="C29" s="11" t="n">
        <v>18</v>
      </c>
      <c r="D29" s="6" t="s">
        <v>48</v>
      </c>
      <c r="E29" s="15" t="n">
        <v>85000</v>
      </c>
      <c r="F29" s="16" t="n">
        <f aca="false">C29*E29</f>
        <v>1530000</v>
      </c>
      <c r="G29" s="17"/>
    </row>
    <row r="30" customFormat="false" ht="15" hidden="false" customHeight="false" outlineLevel="0" collapsed="false">
      <c r="B30" s="4" t="s">
        <v>49</v>
      </c>
      <c r="C30" s="11" t="n">
        <v>4</v>
      </c>
      <c r="D30" s="6" t="s">
        <v>50</v>
      </c>
      <c r="E30" s="15" t="n">
        <v>650000</v>
      </c>
      <c r="F30" s="16" t="n">
        <f aca="false">C30*E30</f>
        <v>2600000</v>
      </c>
      <c r="G30" s="17"/>
    </row>
    <row r="31" customFormat="false" ht="15" hidden="false" customHeight="false" outlineLevel="0" collapsed="false">
      <c r="B31" s="4" t="s">
        <v>51</v>
      </c>
      <c r="C31" s="11" t="n">
        <v>2</v>
      </c>
      <c r="D31" s="6" t="s">
        <v>50</v>
      </c>
      <c r="E31" s="15" t="n">
        <v>950000</v>
      </c>
      <c r="F31" s="16" t="n">
        <f aca="false">C31*E31</f>
        <v>1900000</v>
      </c>
      <c r="G31" s="17"/>
    </row>
    <row r="32" customFormat="false" ht="15" hidden="false" customHeight="false" outlineLevel="0" collapsed="false">
      <c r="B32" s="4" t="s">
        <v>52</v>
      </c>
      <c r="C32" s="11" t="n">
        <v>9</v>
      </c>
      <c r="D32" s="6" t="s">
        <v>53</v>
      </c>
      <c r="E32" s="15" t="n">
        <v>220000</v>
      </c>
      <c r="F32" s="16" t="n">
        <f aca="false">C32*E32</f>
        <v>1980000</v>
      </c>
      <c r="G32" s="17"/>
    </row>
    <row r="33" customFormat="false" ht="15" hidden="false" customHeight="false" outlineLevel="0" collapsed="false">
      <c r="B33" s="4" t="s">
        <v>54</v>
      </c>
      <c r="C33" s="11" t="n">
        <v>1</v>
      </c>
      <c r="D33" s="6" t="s">
        <v>55</v>
      </c>
      <c r="E33" s="15" t="n">
        <v>3800000</v>
      </c>
      <c r="F33" s="16" t="n">
        <f aca="false">C33*E33</f>
        <v>3800000</v>
      </c>
      <c r="G33" s="17"/>
    </row>
    <row r="34" customFormat="false" ht="15" hidden="false" customHeight="false" outlineLevel="0" collapsed="false">
      <c r="B34" s="4" t="s">
        <v>56</v>
      </c>
      <c r="C34" s="11" t="n">
        <v>6</v>
      </c>
      <c r="D34" s="6" t="s">
        <v>53</v>
      </c>
      <c r="E34" s="15" t="n">
        <v>75000</v>
      </c>
      <c r="F34" s="16" t="n">
        <f aca="false">C34*E34</f>
        <v>450000</v>
      </c>
      <c r="G34" s="17"/>
    </row>
    <row r="35" customFormat="false" ht="15" hidden="false" customHeight="false" outlineLevel="0" collapsed="false">
      <c r="B35" s="18" t="s">
        <v>57</v>
      </c>
      <c r="C35" s="24" t="n">
        <f aca="false">SUM(C29:C34)</f>
        <v>40</v>
      </c>
      <c r="D35" s="23"/>
      <c r="E35" s="23"/>
      <c r="F35" s="22" t="n">
        <f aca="false">SUM(F29:F34)</f>
        <v>12260000</v>
      </c>
      <c r="G35" s="23"/>
    </row>
    <row r="37" customFormat="false" ht="18" hidden="false" customHeight="true" outlineLevel="0" collapsed="false">
      <c r="B37" s="3" t="s">
        <v>58</v>
      </c>
      <c r="C37" s="3"/>
      <c r="D37" s="3"/>
      <c r="E37" s="3"/>
      <c r="F37" s="3"/>
      <c r="G37" s="3"/>
    </row>
    <row r="38" customFormat="false" ht="15" hidden="false" customHeight="false" outlineLevel="0" collapsed="false">
      <c r="B38" s="4" t="s">
        <v>59</v>
      </c>
      <c r="C38" s="15" t="n">
        <v>1450</v>
      </c>
      <c r="D38" s="6" t="s">
        <v>60</v>
      </c>
      <c r="E38" s="7" t="s">
        <v>61</v>
      </c>
    </row>
    <row r="39" customFormat="false" ht="15" hidden="false" customHeight="false" outlineLevel="0" collapsed="false">
      <c r="B39" s="4" t="s">
        <v>62</v>
      </c>
      <c r="C39" s="25" t="n">
        <v>28</v>
      </c>
      <c r="D39" s="6" t="s">
        <v>63</v>
      </c>
      <c r="E39" s="7" t="s">
        <v>64</v>
      </c>
    </row>
    <row r="40" customFormat="false" ht="15" hidden="false" customHeight="false" outlineLevel="0" collapsed="false">
      <c r="B40" s="4" t="s">
        <v>65</v>
      </c>
      <c r="C40" s="25" t="n">
        <v>95</v>
      </c>
      <c r="D40" s="6" t="s">
        <v>66</v>
      </c>
      <c r="E40" s="7" t="s">
        <v>67</v>
      </c>
    </row>
    <row r="41" customFormat="false" ht="15" hidden="false" customHeight="false" outlineLevel="0" collapsed="false">
      <c r="B41" s="4" t="s">
        <v>68</v>
      </c>
      <c r="C41" s="26" t="n">
        <v>6</v>
      </c>
      <c r="D41" s="6" t="s">
        <v>69</v>
      </c>
      <c r="E41" s="7" t="s">
        <v>70</v>
      </c>
    </row>
    <row r="42" customFormat="false" ht="15" hidden="false" customHeight="false" outlineLevel="0" collapsed="false">
      <c r="B42" s="4" t="s">
        <v>71</v>
      </c>
      <c r="C42" s="15" t="n">
        <v>480000</v>
      </c>
      <c r="D42" s="6" t="s">
        <v>72</v>
      </c>
      <c r="E42" s="7" t="s">
        <v>73</v>
      </c>
    </row>
    <row r="43" customFormat="false" ht="15" hidden="false" customHeight="false" outlineLevel="0" collapsed="false">
      <c r="B43" s="4" t="s">
        <v>74</v>
      </c>
      <c r="C43" s="11" t="n">
        <v>12</v>
      </c>
      <c r="D43" s="6" t="s">
        <v>75</v>
      </c>
      <c r="E43" s="7" t="s">
        <v>76</v>
      </c>
    </row>
    <row r="44" customFormat="false" ht="15" hidden="false" customHeight="false" outlineLevel="0" collapsed="false">
      <c r="B44" s="4" t="s">
        <v>77</v>
      </c>
      <c r="C44" s="15" t="n">
        <v>9500</v>
      </c>
      <c r="D44" s="6" t="s">
        <v>78</v>
      </c>
      <c r="E44" s="7" t="s">
        <v>79</v>
      </c>
    </row>
    <row r="45" customFormat="false" ht="15" hidden="false" customHeight="false" outlineLevel="0" collapsed="false">
      <c r="B45" s="4" t="s">
        <v>80</v>
      </c>
      <c r="C45" s="11" t="n">
        <v>1</v>
      </c>
      <c r="D45" s="6" t="s">
        <v>81</v>
      </c>
      <c r="E45" s="4"/>
    </row>
    <row r="46" customFormat="false" ht="15" hidden="false" customHeight="false" outlineLevel="0" collapsed="false">
      <c r="B46" s="4" t="s">
        <v>82</v>
      </c>
      <c r="C46" s="15" t="n">
        <v>550000</v>
      </c>
      <c r="D46" s="6" t="s">
        <v>83</v>
      </c>
      <c r="E46" s="4"/>
    </row>
    <row r="48" customFormat="false" ht="18" hidden="false" customHeight="true" outlineLevel="0" collapsed="false">
      <c r="B48" s="3" t="s">
        <v>84</v>
      </c>
      <c r="C48" s="3"/>
      <c r="D48" s="3"/>
      <c r="E48" s="3"/>
      <c r="F48" s="3"/>
      <c r="G48" s="3"/>
    </row>
    <row r="49" customFormat="false" ht="15" hidden="false" customHeight="false" outlineLevel="0" collapsed="false">
      <c r="B49" s="4" t="s">
        <v>85</v>
      </c>
      <c r="C49" s="15" t="n">
        <v>14000</v>
      </c>
      <c r="D49" s="6" t="s">
        <v>78</v>
      </c>
      <c r="E49" s="7" t="s">
        <v>86</v>
      </c>
    </row>
    <row r="50" customFormat="false" ht="15" hidden="false" customHeight="false" outlineLevel="0" collapsed="false">
      <c r="B50" s="4" t="s">
        <v>87</v>
      </c>
      <c r="C50" s="15" t="n">
        <v>18000</v>
      </c>
      <c r="D50" s="6" t="s">
        <v>78</v>
      </c>
      <c r="E50" s="4"/>
    </row>
    <row r="51" customFormat="false" ht="15" hidden="false" customHeight="false" outlineLevel="0" collapsed="false">
      <c r="B51" s="4" t="s">
        <v>88</v>
      </c>
      <c r="C51" s="15" t="n">
        <v>9000000</v>
      </c>
      <c r="D51" s="6" t="s">
        <v>89</v>
      </c>
      <c r="E51" s="7" t="s">
        <v>90</v>
      </c>
    </row>
    <row r="52" customFormat="false" ht="15" hidden="false" customHeight="false" outlineLevel="0" collapsed="false">
      <c r="B52" s="4" t="s">
        <v>91</v>
      </c>
      <c r="C52" s="26" t="n">
        <v>8</v>
      </c>
      <c r="D52" s="6" t="s">
        <v>92</v>
      </c>
      <c r="E52" s="4"/>
    </row>
    <row r="53" customFormat="false" ht="15" hidden="false" customHeight="false" outlineLevel="0" collapsed="false">
      <c r="B53" s="4" t="s">
        <v>93</v>
      </c>
      <c r="C53" s="26" t="n">
        <v>5</v>
      </c>
      <c r="D53" s="6" t="s">
        <v>92</v>
      </c>
      <c r="E53" s="4"/>
    </row>
    <row r="54" customFormat="false" ht="15" hidden="false" customHeight="false" outlineLevel="0" collapsed="false">
      <c r="B54" s="4" t="s">
        <v>94</v>
      </c>
      <c r="C54" s="26" t="n">
        <v>6.5</v>
      </c>
      <c r="D54" s="6" t="s">
        <v>92</v>
      </c>
      <c r="E54" s="4"/>
    </row>
    <row r="55" customFormat="false" ht="15" hidden="false" customHeight="false" outlineLevel="0" collapsed="false">
      <c r="B55" s="4" t="s">
        <v>95</v>
      </c>
      <c r="C55" s="26" t="n">
        <v>20</v>
      </c>
      <c r="D55" s="6" t="s">
        <v>96</v>
      </c>
      <c r="E55" s="7" t="s">
        <v>97</v>
      </c>
    </row>
  </sheetData>
  <mergeCells count="8">
    <mergeCell ref="B1:G1"/>
    <mergeCell ref="B2:G2"/>
    <mergeCell ref="B4:G4"/>
    <mergeCell ref="B10:G10"/>
    <mergeCell ref="B18:G18"/>
    <mergeCell ref="B27:G27"/>
    <mergeCell ref="B37:G37"/>
    <mergeCell ref="B48:G4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6"/>
    <col collapsed="false" customWidth="true" hidden="false" outlineLevel="0" max="3" min="3" style="0" width="40"/>
    <col collapsed="false" customWidth="true" hidden="false" outlineLevel="0" max="4" min="4" style="0" width="16"/>
    <col collapsed="false" customWidth="true" hidden="false" outlineLevel="0" max="5" min="5" style="0" width="10"/>
    <col collapsed="false" customWidth="true" hidden="false" outlineLevel="0" max="6" min="6" style="0" width="18"/>
    <col collapsed="false" customWidth="true" hidden="false" outlineLevel="0" max="7" min="7" style="0" width="12"/>
  </cols>
  <sheetData>
    <row r="1" customFormat="false" ht="25.5" hidden="false" customHeight="true" outlineLevel="0" collapsed="false">
      <c r="B1" s="1" t="s">
        <v>98</v>
      </c>
      <c r="C1" s="1"/>
      <c r="D1" s="1"/>
      <c r="E1" s="1"/>
      <c r="F1" s="1"/>
      <c r="G1" s="1"/>
    </row>
    <row r="2" customFormat="false" ht="15" hidden="false" customHeight="false" outlineLevel="0" collapsed="false">
      <c r="B2" s="2" t="s">
        <v>99</v>
      </c>
      <c r="C2" s="2"/>
      <c r="D2" s="2"/>
      <c r="E2" s="2"/>
      <c r="F2" s="2"/>
      <c r="G2" s="2"/>
    </row>
    <row r="4" customFormat="false" ht="15" hidden="false" customHeight="false" outlineLevel="0" collapsed="false">
      <c r="B4" s="27" t="s">
        <v>100</v>
      </c>
      <c r="C4" s="27" t="s">
        <v>101</v>
      </c>
      <c r="D4" s="27" t="s">
        <v>102</v>
      </c>
      <c r="E4" s="27" t="s">
        <v>103</v>
      </c>
      <c r="F4" s="27" t="s">
        <v>34</v>
      </c>
      <c r="G4" s="27" t="s">
        <v>104</v>
      </c>
    </row>
    <row r="5" customFormat="false" ht="15" hidden="false" customHeight="false" outlineLevel="0" collapsed="false">
      <c r="B5" s="28" t="s">
        <v>105</v>
      </c>
      <c r="C5" s="29" t="s">
        <v>106</v>
      </c>
      <c r="D5" s="13"/>
      <c r="E5" s="13"/>
      <c r="F5" s="13"/>
      <c r="G5" s="13"/>
    </row>
    <row r="6" customFormat="false" ht="15" hidden="false" customHeight="false" outlineLevel="0" collapsed="false">
      <c r="B6" s="6" t="s">
        <v>107</v>
      </c>
      <c r="C6" s="4" t="s">
        <v>108</v>
      </c>
      <c r="D6" s="9" t="n">
        <f aca="false">(0.0246615*Inputs!C13*(Inputs!C12-Inputs!C13))*Inputs!C14</f>
        <v>22433.9648094</v>
      </c>
      <c r="E6" s="6" t="s">
        <v>109</v>
      </c>
      <c r="F6" s="16" t="n">
        <f aca="false">(0.0246615*Inputs!C13*(Inputs!C12-Inputs!C13))*Inputs!C14*Inputs!C38</f>
        <v>32529248.97363</v>
      </c>
      <c r="G6" s="30" t="n">
        <f aca="false">F6/$F$38</f>
        <v>0.143903069553672</v>
      </c>
    </row>
    <row r="7" customFormat="false" ht="15" hidden="false" customHeight="false" outlineLevel="0" collapsed="false">
      <c r="B7" s="6" t="s">
        <v>110</v>
      </c>
      <c r="C7" s="4" t="s">
        <v>62</v>
      </c>
      <c r="D7" s="9" t="n">
        <f aca="false">PI()*(Inputs!C12/1000)*(Inputs!C14*1000)</f>
        <v>229813.785795401</v>
      </c>
      <c r="E7" s="6" t="s">
        <v>111</v>
      </c>
      <c r="F7" s="16" t="n">
        <f aca="false">PI()*(Inputs!C12/1000)*(Inputs!C14*1000)*Inputs!C39</f>
        <v>6434786.00227121</v>
      </c>
      <c r="G7" s="30" t="n">
        <f aca="false">F7/$F$38</f>
        <v>0.028466241516934</v>
      </c>
    </row>
    <row r="8" customFormat="false" ht="15" hidden="false" customHeight="false" outlineLevel="0" collapsed="false">
      <c r="B8" s="6" t="s">
        <v>112</v>
      </c>
      <c r="C8" s="4" t="s">
        <v>65</v>
      </c>
      <c r="D8" s="9" t="n">
        <f aca="false">Inputs!C14*1000/12</f>
        <v>10000</v>
      </c>
      <c r="E8" s="6" t="s">
        <v>113</v>
      </c>
      <c r="F8" s="16" t="n">
        <f aca="false">Inputs!C14*1000/12*Inputs!C40</f>
        <v>950000</v>
      </c>
      <c r="G8" s="30" t="n">
        <f aca="false">F8/$F$38</f>
        <v>0.00420261519676681</v>
      </c>
    </row>
    <row r="9" customFormat="false" ht="15" hidden="false" customHeight="false" outlineLevel="0" collapsed="false">
      <c r="B9" s="6" t="s">
        <v>114</v>
      </c>
      <c r="C9" s="4" t="s">
        <v>115</v>
      </c>
      <c r="D9" s="9" t="n">
        <f aca="false">Inputs!C41/100</f>
        <v>0.06</v>
      </c>
      <c r="E9" s="6" t="s">
        <v>116</v>
      </c>
      <c r="F9" s="16" t="n">
        <f aca="false">F6*Inputs!C41/100</f>
        <v>1951754.9384178</v>
      </c>
      <c r="G9" s="30" t="n">
        <f aca="false">F9/$F$38</f>
        <v>0.00863418417322032</v>
      </c>
    </row>
    <row r="10" customFormat="false" ht="15" hidden="false" customHeight="false" outlineLevel="0" collapsed="false">
      <c r="B10" s="6" t="s">
        <v>117</v>
      </c>
      <c r="C10" s="4" t="s">
        <v>118</v>
      </c>
      <c r="D10" s="9" t="n">
        <f aca="false">Inputs!C43</f>
        <v>12</v>
      </c>
      <c r="E10" s="6" t="s">
        <v>75</v>
      </c>
      <c r="F10" s="16" t="n">
        <f aca="false">Inputs!C43*Inputs!C42</f>
        <v>5760000</v>
      </c>
      <c r="G10" s="30" t="n">
        <f aca="false">F10/$F$38</f>
        <v>0.0254811195088177</v>
      </c>
    </row>
    <row r="11" customFormat="false" ht="15" hidden="false" customHeight="false" outlineLevel="0" collapsed="false">
      <c r="B11" s="6" t="s">
        <v>119</v>
      </c>
      <c r="C11" s="4" t="s">
        <v>120</v>
      </c>
      <c r="D11" s="9" t="n">
        <f aca="false">Inputs!C14</f>
        <v>120</v>
      </c>
      <c r="E11" s="6" t="s">
        <v>22</v>
      </c>
      <c r="F11" s="16" t="n">
        <f aca="false">Inputs!C14*Inputs!C44</f>
        <v>1140000</v>
      </c>
      <c r="G11" s="30" t="n">
        <f aca="false">F11/$F$38</f>
        <v>0.00504313823612017</v>
      </c>
    </row>
    <row r="12" customFormat="false" ht="15" hidden="false" customHeight="false" outlineLevel="0" collapsed="false">
      <c r="B12" s="6" t="s">
        <v>121</v>
      </c>
      <c r="C12" s="4" t="s">
        <v>122</v>
      </c>
      <c r="D12" s="9" t="n">
        <f aca="false">Inputs!C45</f>
        <v>1</v>
      </c>
      <c r="E12" s="6" t="s">
        <v>81</v>
      </c>
      <c r="F12" s="16" t="n">
        <f aca="false">Inputs!C45*Inputs!C46</f>
        <v>550000</v>
      </c>
      <c r="G12" s="30" t="n">
        <f aca="false">F12/$F$38</f>
        <v>0.00243309300865447</v>
      </c>
    </row>
    <row r="13" customFormat="false" ht="15" hidden="false" customHeight="false" outlineLevel="0" collapsed="false">
      <c r="B13" s="23"/>
      <c r="C13" s="18" t="s">
        <v>123</v>
      </c>
      <c r="D13" s="23"/>
      <c r="E13" s="23"/>
      <c r="F13" s="22" t="n">
        <f aca="false">SUM(F6:F12)</f>
        <v>49315789.914319</v>
      </c>
      <c r="G13" s="19" t="n">
        <f aca="false">F13/$F$38</f>
        <v>0.218163461194185</v>
      </c>
    </row>
    <row r="15" customFormat="false" ht="15" hidden="false" customHeight="false" outlineLevel="0" collapsed="false">
      <c r="B15" s="28" t="s">
        <v>124</v>
      </c>
      <c r="C15" s="29" t="s">
        <v>125</v>
      </c>
      <c r="D15" s="13"/>
      <c r="E15" s="13"/>
      <c r="F15" s="13"/>
      <c r="G15" s="13"/>
    </row>
    <row r="16" customFormat="false" ht="15" hidden="false" customHeight="false" outlineLevel="0" collapsed="false">
      <c r="B16" s="6" t="s">
        <v>126</v>
      </c>
      <c r="C16" s="4" t="s">
        <v>127</v>
      </c>
      <c r="D16" s="9" t="n">
        <f aca="false">Inputs!C14</f>
        <v>120</v>
      </c>
      <c r="E16" s="6" t="s">
        <v>22</v>
      </c>
      <c r="F16" s="16" t="n">
        <f aca="false">Inputs!F25</f>
        <v>83220000</v>
      </c>
      <c r="G16" s="30" t="n">
        <f aca="false">F16/$F$38</f>
        <v>0.368149091236772</v>
      </c>
    </row>
    <row r="17" customFormat="false" ht="15" hidden="false" customHeight="false" outlineLevel="0" collapsed="false">
      <c r="B17" s="6" t="s">
        <v>128</v>
      </c>
      <c r="C17" s="4" t="s">
        <v>85</v>
      </c>
      <c r="D17" s="9" t="n">
        <f aca="false">Inputs!C14</f>
        <v>120</v>
      </c>
      <c r="E17" s="6" t="s">
        <v>22</v>
      </c>
      <c r="F17" s="16" t="n">
        <f aca="false">Inputs!C14*Inputs!C49</f>
        <v>1680000</v>
      </c>
      <c r="G17" s="30" t="n">
        <f aca="false">F17/$F$38</f>
        <v>0.00743199319007183</v>
      </c>
    </row>
    <row r="18" customFormat="false" ht="15" hidden="false" customHeight="false" outlineLevel="0" collapsed="false">
      <c r="B18" s="6" t="s">
        <v>129</v>
      </c>
      <c r="C18" s="4" t="s">
        <v>87</v>
      </c>
      <c r="D18" s="9" t="n">
        <f aca="false">Inputs!C14</f>
        <v>120</v>
      </c>
      <c r="E18" s="6" t="s">
        <v>22</v>
      </c>
      <c r="F18" s="16" t="n">
        <f aca="false">Inputs!C14*Inputs!C50</f>
        <v>2160000</v>
      </c>
      <c r="G18" s="30" t="n">
        <f aca="false">F18/$F$38</f>
        <v>0.00955541981580663</v>
      </c>
    </row>
    <row r="19" customFormat="false" ht="15" hidden="false" customHeight="false" outlineLevel="0" collapsed="false">
      <c r="B19" s="23"/>
      <c r="C19" s="18" t="s">
        <v>130</v>
      </c>
      <c r="D19" s="23"/>
      <c r="E19" s="23"/>
      <c r="F19" s="22" t="n">
        <f aca="false">SUM(F16:F18)</f>
        <v>87060000</v>
      </c>
      <c r="G19" s="19" t="n">
        <f aca="false">F19/$F$38</f>
        <v>0.385136504242651</v>
      </c>
    </row>
    <row r="21" customFormat="false" ht="15" hidden="false" customHeight="false" outlineLevel="0" collapsed="false">
      <c r="B21" s="28" t="s">
        <v>131</v>
      </c>
      <c r="C21" s="29" t="s">
        <v>132</v>
      </c>
      <c r="D21" s="13"/>
      <c r="E21" s="13"/>
      <c r="F21" s="13"/>
      <c r="G21" s="13"/>
    </row>
    <row r="22" customFormat="false" ht="15" hidden="false" customHeight="false" outlineLevel="0" collapsed="false">
      <c r="B22" s="6" t="s">
        <v>133</v>
      </c>
      <c r="C22" s="4" t="s">
        <v>134</v>
      </c>
      <c r="D22" s="9"/>
      <c r="E22" s="6" t="s">
        <v>135</v>
      </c>
      <c r="F22" s="16" t="n">
        <f aca="false">Inputs!F35</f>
        <v>12260000</v>
      </c>
      <c r="G22" s="30" t="n">
        <f aca="false">F22/$F$38</f>
        <v>0.0542358550656432</v>
      </c>
    </row>
    <row r="23" customFormat="false" ht="15" hidden="false" customHeight="false" outlineLevel="0" collapsed="false">
      <c r="B23" s="23"/>
      <c r="C23" s="18" t="s">
        <v>136</v>
      </c>
      <c r="D23" s="23"/>
      <c r="E23" s="23"/>
      <c r="F23" s="22" t="n">
        <f aca="false">F22</f>
        <v>12260000</v>
      </c>
      <c r="G23" s="19" t="n">
        <f aca="false">F23/$F$38</f>
        <v>0.0542358550656432</v>
      </c>
    </row>
    <row r="25" customFormat="false" ht="15" hidden="false" customHeight="false" outlineLevel="0" collapsed="false">
      <c r="B25" s="28" t="s">
        <v>137</v>
      </c>
      <c r="C25" s="29" t="s">
        <v>138</v>
      </c>
      <c r="D25" s="13"/>
      <c r="E25" s="13"/>
      <c r="F25" s="13"/>
      <c r="G25" s="13"/>
    </row>
    <row r="26" customFormat="false" ht="15" hidden="false" customHeight="false" outlineLevel="0" collapsed="false">
      <c r="B26" s="6" t="s">
        <v>139</v>
      </c>
      <c r="C26" s="4" t="s">
        <v>88</v>
      </c>
      <c r="D26" s="9"/>
      <c r="E26" s="6" t="s">
        <v>135</v>
      </c>
      <c r="F26" s="16" t="n">
        <f aca="false">Inputs!C51</f>
        <v>9000000</v>
      </c>
      <c r="G26" s="30" t="n">
        <f aca="false">F26/$F$38</f>
        <v>0.0398142492325276</v>
      </c>
    </row>
    <row r="27" customFormat="false" ht="15" hidden="false" customHeight="false" outlineLevel="0" collapsed="false">
      <c r="B27" s="23"/>
      <c r="C27" s="18" t="s">
        <v>140</v>
      </c>
      <c r="D27" s="23"/>
      <c r="E27" s="23"/>
      <c r="F27" s="22" t="n">
        <f aca="false">F26</f>
        <v>9000000</v>
      </c>
      <c r="G27" s="19" t="n">
        <f aca="false">F27/$F$38</f>
        <v>0.0398142492325276</v>
      </c>
    </row>
    <row r="29" customFormat="false" ht="15" hidden="false" customHeight="false" outlineLevel="0" collapsed="false">
      <c r="B29" s="31"/>
      <c r="C29" s="32" t="s">
        <v>141</v>
      </c>
      <c r="D29" s="31"/>
      <c r="E29" s="31"/>
      <c r="F29" s="33" t="n">
        <f aca="false">F13+F19+F23+F27</f>
        <v>157635789.914319</v>
      </c>
      <c r="G29" s="34" t="n">
        <f aca="false">F29/$F$38</f>
        <v>0.697350069735007</v>
      </c>
    </row>
    <row r="31" customFormat="false" ht="26.85" hidden="false" customHeight="false" outlineLevel="0" collapsed="false">
      <c r="B31" s="28" t="s">
        <v>142</v>
      </c>
      <c r="C31" s="29" t="s">
        <v>143</v>
      </c>
      <c r="D31" s="13"/>
      <c r="E31" s="13"/>
      <c r="F31" s="13"/>
      <c r="G31" s="13"/>
    </row>
    <row r="32" customFormat="false" ht="15" hidden="false" customHeight="false" outlineLevel="0" collapsed="false">
      <c r="B32" s="6" t="s">
        <v>144</v>
      </c>
      <c r="C32" s="4" t="s">
        <v>91</v>
      </c>
      <c r="D32" s="9" t="n">
        <f aca="false">Inputs!C52/100</f>
        <v>0.08</v>
      </c>
      <c r="E32" s="6" t="s">
        <v>145</v>
      </c>
      <c r="F32" s="16" t="n">
        <f aca="false">F29*Inputs!C52/100</f>
        <v>12610863.1931455</v>
      </c>
      <c r="G32" s="30" t="n">
        <f aca="false">F32/$F$38</f>
        <v>0.0557880055788006</v>
      </c>
    </row>
    <row r="33" customFormat="false" ht="15" hidden="false" customHeight="false" outlineLevel="0" collapsed="false">
      <c r="B33" s="6" t="s">
        <v>146</v>
      </c>
      <c r="C33" s="4" t="s">
        <v>147</v>
      </c>
      <c r="D33" s="9" t="n">
        <f aca="false">Inputs!C53/100</f>
        <v>0.05</v>
      </c>
      <c r="E33" s="6" t="s">
        <v>145</v>
      </c>
      <c r="F33" s="16" t="n">
        <f aca="false">F29*Inputs!C53/100</f>
        <v>7881789.49571595</v>
      </c>
      <c r="G33" s="30" t="n">
        <f aca="false">F33/$F$38</f>
        <v>0.0348675034867504</v>
      </c>
    </row>
    <row r="34" customFormat="false" ht="15" hidden="false" customHeight="false" outlineLevel="0" collapsed="false">
      <c r="B34" s="6" t="s">
        <v>148</v>
      </c>
      <c r="C34" s="4" t="s">
        <v>94</v>
      </c>
      <c r="D34" s="9" t="n">
        <f aca="false">Inputs!C54/100</f>
        <v>0.065</v>
      </c>
      <c r="E34" s="6" t="s">
        <v>145</v>
      </c>
      <c r="F34" s="16" t="n">
        <f aca="false">F29*Inputs!C54/100</f>
        <v>10246326.3444307</v>
      </c>
      <c r="G34" s="30" t="n">
        <f aca="false">F34/$F$38</f>
        <v>0.0453277545327755</v>
      </c>
    </row>
    <row r="35" customFormat="false" ht="15" hidden="false" customHeight="false" outlineLevel="0" collapsed="false">
      <c r="B35" s="23"/>
      <c r="C35" s="18" t="s">
        <v>149</v>
      </c>
      <c r="D35" s="23"/>
      <c r="E35" s="23"/>
      <c r="F35" s="22" t="n">
        <f aca="false">F29+SUM(F32:F34)</f>
        <v>188374768.947611</v>
      </c>
      <c r="G35" s="19" t="n">
        <f aca="false">F35/$F$38</f>
        <v>0.833333333333333</v>
      </c>
    </row>
    <row r="36" customFormat="false" ht="15" hidden="false" customHeight="false" outlineLevel="0" collapsed="false">
      <c r="B36" s="6" t="s">
        <v>150</v>
      </c>
      <c r="C36" s="4" t="s">
        <v>95</v>
      </c>
      <c r="D36" s="9" t="n">
        <f aca="false">Inputs!C55/100</f>
        <v>0.2</v>
      </c>
      <c r="E36" s="6" t="s">
        <v>151</v>
      </c>
      <c r="F36" s="16" t="n">
        <f aca="false">F35*Inputs!C55/100</f>
        <v>37674953.7895222</v>
      </c>
      <c r="G36" s="30" t="n">
        <f aca="false">F36/$F$38</f>
        <v>0.166666666666667</v>
      </c>
    </row>
    <row r="38" customFormat="false" ht="21.75" hidden="false" customHeight="true" outlineLevel="0" collapsed="false">
      <c r="B38" s="35"/>
      <c r="C38" s="36" t="s">
        <v>152</v>
      </c>
      <c r="D38" s="35"/>
      <c r="E38" s="35"/>
      <c r="F38" s="37" t="n">
        <f aca="false">F35+F36</f>
        <v>226049722.737133</v>
      </c>
      <c r="G38" s="38" t="s">
        <v>153</v>
      </c>
    </row>
    <row r="40" customFormat="false" ht="15" hidden="false" customHeight="false" outlineLevel="0" collapsed="false">
      <c r="B40" s="2" t="s">
        <v>154</v>
      </c>
      <c r="C40" s="2"/>
      <c r="D40" s="2"/>
      <c r="E40" s="2"/>
      <c r="F40" s="2"/>
      <c r="G40" s="2"/>
    </row>
    <row r="41" customFormat="false" ht="15" hidden="false" customHeight="false" outlineLevel="0" collapsed="false">
      <c r="B41" s="17"/>
      <c r="C41" s="4" t="s">
        <v>155</v>
      </c>
      <c r="D41" s="17"/>
      <c r="E41" s="17"/>
      <c r="F41" s="16" t="n">
        <f aca="false">F38*0.85</f>
        <v>192142264.326563</v>
      </c>
      <c r="G41" s="17"/>
    </row>
    <row r="42" customFormat="false" ht="15" hidden="false" customHeight="false" outlineLevel="0" collapsed="false">
      <c r="B42" s="17"/>
      <c r="C42" s="4" t="s">
        <v>156</v>
      </c>
      <c r="D42" s="17"/>
      <c r="E42" s="17"/>
      <c r="F42" s="16" t="n">
        <f aca="false">F38*1.3</f>
        <v>293864639.558274</v>
      </c>
      <c r="G42" s="17"/>
    </row>
  </sheetData>
  <mergeCells count="3">
    <mergeCell ref="B1:G1"/>
    <mergeCell ref="B2:G2"/>
    <mergeCell ref="B40:G4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E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40"/>
    <col collapsed="false" customWidth="true" hidden="false" outlineLevel="0" max="3" min="3" style="0" width="18"/>
    <col collapsed="false" customWidth="true" hidden="false" outlineLevel="0" max="4" min="4" style="0" width="14"/>
    <col collapsed="false" customWidth="true" hidden="false" outlineLevel="0" max="5" min="5" style="0" width="40"/>
  </cols>
  <sheetData>
    <row r="1" customFormat="false" ht="25.5" hidden="false" customHeight="true" outlineLevel="0" collapsed="false">
      <c r="B1" s="1" t="s">
        <v>157</v>
      </c>
      <c r="C1" s="1"/>
      <c r="D1" s="1"/>
      <c r="E1" s="1"/>
    </row>
    <row r="2" customFormat="false" ht="15" hidden="false" customHeight="false" outlineLevel="0" collapsed="false">
      <c r="B2" s="2" t="s">
        <v>158</v>
      </c>
      <c r="C2" s="2"/>
      <c r="D2" s="2"/>
      <c r="E2" s="2"/>
    </row>
    <row r="4" customFormat="false" ht="15" hidden="false" customHeight="true" outlineLevel="0" collapsed="false">
      <c r="B4" s="3" t="s">
        <v>159</v>
      </c>
      <c r="C4" s="3"/>
      <c r="D4" s="3"/>
      <c r="E4" s="3"/>
    </row>
    <row r="5" customFormat="false" ht="15" hidden="false" customHeight="false" outlineLevel="0" collapsed="false">
      <c r="B5" s="4" t="s">
        <v>160</v>
      </c>
      <c r="C5" s="39" t="n">
        <f aca="false">Estimate!F38</f>
        <v>226049722.737133</v>
      </c>
      <c r="D5" s="6" t="s">
        <v>161</v>
      </c>
      <c r="E5" s="17"/>
    </row>
    <row r="6" customFormat="false" ht="15" hidden="false" customHeight="false" outlineLevel="0" collapsed="false">
      <c r="B6" s="4" t="s">
        <v>162</v>
      </c>
      <c r="C6" s="40" t="n">
        <f aca="false">Inputs!C14</f>
        <v>120</v>
      </c>
      <c r="D6" s="6" t="s">
        <v>22</v>
      </c>
      <c r="E6" s="17"/>
    </row>
    <row r="7" customFormat="false" ht="15" hidden="false" customHeight="false" outlineLevel="0" collapsed="false">
      <c r="B7" s="4" t="s">
        <v>163</v>
      </c>
      <c r="C7" s="40" t="n">
        <f aca="false">Inputs!C11</f>
        <v>24</v>
      </c>
      <c r="D7" s="6" t="s">
        <v>15</v>
      </c>
      <c r="E7" s="17"/>
    </row>
    <row r="8" customFormat="false" ht="15" hidden="false" customHeight="false" outlineLevel="0" collapsed="false">
      <c r="B8" s="18" t="s">
        <v>164</v>
      </c>
      <c r="C8" s="22" t="n">
        <f aca="false">C5/C6</f>
        <v>1883747.68947611</v>
      </c>
      <c r="D8" s="41" t="s">
        <v>78</v>
      </c>
      <c r="E8" s="42" t="s">
        <v>165</v>
      </c>
    </row>
    <row r="9" customFormat="false" ht="22.35" hidden="false" customHeight="false" outlineLevel="0" collapsed="false">
      <c r="B9" s="18" t="s">
        <v>166</v>
      </c>
      <c r="C9" s="22" t="n">
        <f aca="false">C5/(C6*C7)</f>
        <v>78489.4870615047</v>
      </c>
      <c r="D9" s="41" t="s">
        <v>167</v>
      </c>
      <c r="E9" s="42" t="s">
        <v>168</v>
      </c>
    </row>
    <row r="11" customFormat="false" ht="15" hidden="false" customHeight="true" outlineLevel="0" collapsed="false">
      <c r="B11" s="3" t="s">
        <v>169</v>
      </c>
      <c r="C11" s="3"/>
      <c r="D11" s="3"/>
      <c r="E11" s="3"/>
    </row>
    <row r="12" customFormat="false" ht="15" hidden="false" customHeight="false" outlineLevel="0" collapsed="false">
      <c r="B12" s="4" t="s">
        <v>170</v>
      </c>
      <c r="C12" s="15" t="n">
        <v>76000</v>
      </c>
      <c r="D12" s="6" t="s">
        <v>167</v>
      </c>
      <c r="E12" s="7" t="s">
        <v>171</v>
      </c>
    </row>
    <row r="13" customFormat="false" ht="15" hidden="false" customHeight="false" outlineLevel="0" collapsed="false">
      <c r="B13" s="43" t="s">
        <v>172</v>
      </c>
      <c r="C13" s="44" t="n">
        <f aca="false">C9/C12-1</f>
        <v>0.0327564087040089</v>
      </c>
      <c r="D13" s="6"/>
      <c r="E13" s="43" t="str">
        <f aca="false">IF(ABS(C13)&gt;0.3,"OUT OF CLASS-3 BAND — investigate","Within Class-3 band")</f>
        <v>Within Class-3 band</v>
      </c>
    </row>
    <row r="15" customFormat="false" ht="15" hidden="false" customHeight="true" outlineLevel="0" collapsed="false">
      <c r="B15" s="3" t="s">
        <v>173</v>
      </c>
      <c r="C15" s="3"/>
      <c r="D15" s="3"/>
      <c r="E15" s="3"/>
    </row>
    <row r="16" customFormat="false" ht="15" hidden="false" customHeight="true" outlineLevel="0" collapsed="false">
      <c r="B16" s="4" t="s">
        <v>174</v>
      </c>
      <c r="C16" s="4"/>
      <c r="D16" s="4"/>
      <c r="E16" s="4"/>
    </row>
    <row r="17" customFormat="false" ht="15" hidden="false" customHeight="true" outlineLevel="0" collapsed="false">
      <c r="B17" s="4" t="s">
        <v>175</v>
      </c>
      <c r="C17" s="4"/>
      <c r="D17" s="4"/>
      <c r="E17" s="4"/>
    </row>
    <row r="18" customFormat="false" ht="15" hidden="false" customHeight="true" outlineLevel="0" collapsed="false">
      <c r="B18" s="4" t="s">
        <v>176</v>
      </c>
      <c r="C18" s="4"/>
      <c r="D18" s="4"/>
      <c r="E18" s="4"/>
    </row>
    <row r="19" customFormat="false" ht="15" hidden="false" customHeight="true" outlineLevel="0" collapsed="false">
      <c r="B19" s="4" t="s">
        <v>177</v>
      </c>
      <c r="C19" s="4"/>
      <c r="D19" s="4"/>
      <c r="E19" s="4"/>
    </row>
    <row r="20" customFormat="false" ht="15" hidden="false" customHeight="true" outlineLevel="0" collapsed="false">
      <c r="B20" s="4" t="s">
        <v>178</v>
      </c>
      <c r="C20" s="4"/>
      <c r="D20" s="4"/>
      <c r="E20" s="4"/>
    </row>
    <row r="21" customFormat="false" ht="15" hidden="false" customHeight="true" outlineLevel="0" collapsed="false">
      <c r="B21" s="4" t="s">
        <v>179</v>
      </c>
      <c r="C21" s="4"/>
      <c r="D21" s="4"/>
      <c r="E21" s="4"/>
    </row>
    <row r="22" customFormat="false" ht="15" hidden="false" customHeight="true" outlineLevel="0" collapsed="false">
      <c r="B22" s="4" t="s">
        <v>180</v>
      </c>
      <c r="C22" s="4"/>
      <c r="D22" s="4"/>
      <c r="E22" s="4"/>
    </row>
    <row r="23" customFormat="false" ht="15" hidden="false" customHeight="true" outlineLevel="0" collapsed="false">
      <c r="B23" s="4" t="s">
        <v>181</v>
      </c>
      <c r="C23" s="4"/>
      <c r="D23" s="4"/>
      <c r="E23" s="4"/>
    </row>
  </sheetData>
  <mergeCells count="13">
    <mergeCell ref="B1:E1"/>
    <mergeCell ref="B2:E2"/>
    <mergeCell ref="B4:E4"/>
    <mergeCell ref="B11:E11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2026-06-11T18:48:27Z</dcterms:created>
  <dc:creator>openpyxl</dc:creator>
  <dc:description/>
  <dc:language>en-US</dc:language>
  <cp:lastModifiedBy/>
  <dcterms:modified xsi:type="dcterms:W3CDTF">2026-06-11T18:48:27Z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